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<sst xmlns="http://schemas.openxmlformats.org/spreadsheetml/2006/main" count="628" uniqueCount="157">
  <si>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</si>
  <si>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</si>
  <si>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</si>
  <si>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</si>
  <si>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</si>
  <si>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</si>
  <si>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</si>
  <si>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</si>
  <si>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</si>
  <si>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</si>
  <si>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</si>
  <si>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</si>
  <si>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</si>
  <si>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</si>
  <si>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</si>
  <si>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</si>
  <si>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</si>
  <si>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</si>
  <si>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</si>
  <si>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</si>
  <si>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</si>
  <si>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</si>
  <si>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</si>
  <si>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</si>
  <si>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</si>
  <si>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</si>
  <si>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</si>
  <si>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</si>
  <si>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</si>
  <si>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</si>
  <si>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</si>
  <si>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</si>
  <si>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</si>
  <si>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</si>
  <si>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</si>
  <si>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</si>
  <si>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</si>
  <si>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</si>
  <si>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</si>
  <si>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</si>
  <si>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</si>
  <si>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</si>
  <si>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</si>
  <si>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</si>
  <si>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</si>
  <si>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</si>
  <si>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</si>
  <si>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</si>
  <si>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</si>
  <si>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</si>
  <si>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</si>
  <si>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</si>
  <si>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</si>
  <si>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</si>
  <si>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</si>
  <si>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</si>
  <si>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</si>
  <si>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</si>
  <si>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</si>
  <si>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</si>
  <si>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</si>
  <si>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</si>
  <si>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</si>
  <si>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</si>
  <si>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</si>
  <si>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</si>
  <si>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</si>
  <si>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</si>
  <si>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</si>
  <si>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</si>
  <si>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</si>
  <si>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</si>
  <si>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</si>
  <si>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</si>
  <si>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</si>
  <si>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</si>
  <si>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</si>
  <si>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</si>
  <si>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</si>
  <si>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</si>
  <si>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</si>
  <si>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</si>
  <si>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</si>
  <si>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</si>
  <si>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</si>
  <si>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</si>
  <si>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</si>
  <si>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</si>
  <si>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</si>
  <si>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</si>
  <si>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</si>
  <si>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</si>
  <si>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</si>
  <si>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</si>
  <si>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</si>
  <si>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</si>
  <si>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</si>
  <si>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</si>
  <si>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</si>
  <si>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</si>
  <si>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</si>
  <si>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</si>
  <si>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</si>
  <si>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</si>
  <si>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</si>
  <si>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</si>
  <si>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</si>
  <si>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</si>
  <si>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</si>
  <si>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</si>
  <si>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</si>
  <si>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</si>
  <si>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</si>
  <si>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</si>
  <si>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</si>
  <si>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</si>
  <si>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</si>
  <si>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</si>
  <si>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</si>
  <si>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</si>
  <si>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</si>
  <si>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</si>
  <si>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</si>
  <si>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</si>
  <si>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</si>
  <si>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</si>
  <si>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</si>
  <si>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</si>
  <si>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</si>
  <si>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</si>
  <si>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</si>
  <si>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</si>
  <si>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</si>
  <si>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</si>
  <si>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</si>
  <si>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</si>
  <si>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</si>
  <si>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</si>
  <si>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</si>
  <si>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</si>
  <si>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</si>
  <si>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</si>
  <si>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</si>
  <si>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</si>
  <si>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</si>
  <si>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</si>
  <si>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</si>
  <si>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</si>
  <si>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</si>
  <si>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</si>
  <si>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</si>
  <si>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</si>
  <si>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</si>
  <si>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</si>
  <si>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</si>
  <si>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08.04.2016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</si>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</sst>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6" sqref="E8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9" t="s">
        <v>155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/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199" t="s">
        <v>153</v>
      </c>
      <c r="N3" s="202" t="s">
        <v>154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150</v>
      </c>
      <c r="F4" s="205" t="s">
        <v>34</v>
      </c>
      <c r="G4" s="207" t="s">
        <v>151</v>
      </c>
      <c r="H4" s="200" t="s">
        <v>152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09" t="s">
        <v>156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78.7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144</v>
      </c>
      <c r="L5" s="213"/>
      <c r="M5" s="201"/>
      <c r="N5" s="210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223415.47999999998</v>
      </c>
      <c r="G8" s="15">
        <f aca="true" t="shared" si="0" ref="G8:G21">F8-E8</f>
        <v>-48259.20000000001</v>
      </c>
      <c r="H8" s="38">
        <f>F8/E8*100</f>
        <v>82.2364012722864</v>
      </c>
      <c r="I8" s="28">
        <f>F8-D8</f>
        <v>-617634.52</v>
      </c>
      <c r="J8" s="28">
        <f>F8/D8*100</f>
        <v>26.56387610724689</v>
      </c>
      <c r="K8" s="15">
        <f>F8-139482.78</f>
        <v>83932.69999999998</v>
      </c>
      <c r="L8" s="15">
        <f>F8/139482.78*100</f>
        <v>160.17423799554325</v>
      </c>
      <c r="M8" s="15">
        <f>M9+M15+M18+M19+M20+M32+M17</f>
        <v>71360.49999999999</v>
      </c>
      <c r="N8" s="15">
        <f>N9+N15+N18+N19+N20+N32+N17</f>
        <v>13627.769999999975</v>
      </c>
      <c r="O8" s="15">
        <f>N8-M8</f>
        <v>-57732.73000000001</v>
      </c>
      <c r="P8" s="15">
        <f>N8/M8*100</f>
        <v>19.097077514871643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122719.36</v>
      </c>
      <c r="G9" s="36">
        <f t="shared" si="0"/>
        <v>-23063.90999999999</v>
      </c>
      <c r="H9" s="32">
        <f>F9/E9*100</f>
        <v>84.17931632347114</v>
      </c>
      <c r="I9" s="42">
        <f>F9-D9</f>
        <v>-336980.64</v>
      </c>
      <c r="J9" s="42">
        <f>F9/D9*100</f>
        <v>26.69553186860996</v>
      </c>
      <c r="K9" s="106">
        <f>F9-78437.5</f>
        <v>44281.86</v>
      </c>
      <c r="L9" s="106">
        <f>F9/78437.5*100</f>
        <v>156.4549609561753</v>
      </c>
      <c r="M9" s="32">
        <f>E9-березень!E9</f>
        <v>39799.999999999985</v>
      </c>
      <c r="N9" s="178">
        <f>F9-березень!F9</f>
        <v>10437.539999999994</v>
      </c>
      <c r="O9" s="40">
        <f>N9-M9</f>
        <v>-29362.459999999992</v>
      </c>
      <c r="P9" s="42">
        <f>N9/M9*100</f>
        <v>26.224974874371853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108212.1</v>
      </c>
      <c r="G10" s="109">
        <f t="shared" si="0"/>
        <v>-22704.73999999999</v>
      </c>
      <c r="H10" s="32">
        <f aca="true" t="shared" si="1" ref="H10:H31">F10/E10*100</f>
        <v>82.65712799056256</v>
      </c>
      <c r="I10" s="110">
        <f aca="true" t="shared" si="2" ref="I10:I32">F10-D10</f>
        <v>-303227.9</v>
      </c>
      <c r="J10" s="110">
        <f aca="true" t="shared" si="3" ref="J10:J31">F10/D10*100</f>
        <v>26.3008215049582</v>
      </c>
      <c r="K10" s="112">
        <f>F10-69239.48</f>
        <v>38972.62000000001</v>
      </c>
      <c r="L10" s="112">
        <f>F10/69239.48*100</f>
        <v>156.2867023264762</v>
      </c>
      <c r="M10" s="111">
        <f>E10-березень!E10</f>
        <v>36300</v>
      </c>
      <c r="N10" s="179">
        <f>F10-березень!F10</f>
        <v>9747.720000000001</v>
      </c>
      <c r="O10" s="112">
        <f aca="true" t="shared" si="4" ref="O10:O32">N10-M10</f>
        <v>-26552.28</v>
      </c>
      <c r="P10" s="42">
        <f aca="true" t="shared" si="5" ref="P10:P25">N10/M10*100</f>
        <v>26.853223140495867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8301.88</v>
      </c>
      <c r="G11" s="109">
        <f t="shared" si="0"/>
        <v>-333.0600000000013</v>
      </c>
      <c r="H11" s="32">
        <f t="shared" si="1"/>
        <v>96.14287997368828</v>
      </c>
      <c r="I11" s="110">
        <f t="shared" si="2"/>
        <v>-14698.12</v>
      </c>
      <c r="J11" s="110">
        <f t="shared" si="3"/>
        <v>36.095130434782604</v>
      </c>
      <c r="K11" s="112">
        <f>F11-4902.53</f>
        <v>3399.3499999999995</v>
      </c>
      <c r="L11" s="112">
        <f>F11/4902.53*100</f>
        <v>169.33868839150398</v>
      </c>
      <c r="M11" s="111">
        <f>E11-березень!E11</f>
        <v>1550.000000000001</v>
      </c>
      <c r="N11" s="179">
        <f>F11-березень!F11</f>
        <v>224.76999999999953</v>
      </c>
      <c r="O11" s="112">
        <f t="shared" si="4"/>
        <v>-1325.2300000000014</v>
      </c>
      <c r="P11" s="42">
        <f t="shared" si="5"/>
        <v>14.501290322580607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2517.74</v>
      </c>
      <c r="G12" s="109">
        <f t="shared" si="0"/>
        <v>827.1299999999999</v>
      </c>
      <c r="H12" s="32">
        <f t="shared" si="1"/>
        <v>148.92494425089168</v>
      </c>
      <c r="I12" s="110">
        <f t="shared" si="2"/>
        <v>-3982.26</v>
      </c>
      <c r="J12" s="110">
        <f t="shared" si="3"/>
        <v>38.73446153846153</v>
      </c>
      <c r="K12" s="112">
        <f>F12-1215.38</f>
        <v>1302.3599999999997</v>
      </c>
      <c r="L12" s="112">
        <f>F12/1215.38*100</f>
        <v>207.1566094554789</v>
      </c>
      <c r="M12" s="111">
        <f>E12-березень!E12</f>
        <v>585</v>
      </c>
      <c r="N12" s="179">
        <f>F12-березень!F12</f>
        <v>138.26999999999998</v>
      </c>
      <c r="O12" s="112">
        <f t="shared" si="4"/>
        <v>-446.73</v>
      </c>
      <c r="P12" s="42">
        <f t="shared" si="5"/>
        <v>23.635897435897434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2497.84</v>
      </c>
      <c r="G13" s="109">
        <f t="shared" si="0"/>
        <v>-167</v>
      </c>
      <c r="H13" s="32">
        <f t="shared" si="1"/>
        <v>93.73320724696417</v>
      </c>
      <c r="I13" s="110">
        <f t="shared" si="2"/>
        <v>-9902.16</v>
      </c>
      <c r="J13" s="110">
        <f t="shared" si="3"/>
        <v>20.143870967741936</v>
      </c>
      <c r="K13" s="112">
        <f>F13-1220.33</f>
        <v>1277.5100000000002</v>
      </c>
      <c r="L13" s="112">
        <f>F13/1220.33*100</f>
        <v>204.6856178246868</v>
      </c>
      <c r="M13" s="111">
        <f>E13-березень!E13</f>
        <v>755.0000000000002</v>
      </c>
      <c r="N13" s="179">
        <f>F13-березень!F13</f>
        <v>72.90000000000009</v>
      </c>
      <c r="O13" s="112">
        <f t="shared" si="4"/>
        <v>-682.1000000000001</v>
      </c>
      <c r="P13" s="42">
        <f t="shared" si="5"/>
        <v>9.655629139072856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1189.81</v>
      </c>
      <c r="G14" s="109">
        <f t="shared" si="0"/>
        <v>-686.23</v>
      </c>
      <c r="H14" s="32">
        <f t="shared" si="1"/>
        <v>63.42135562141532</v>
      </c>
      <c r="I14" s="110">
        <f t="shared" si="2"/>
        <v>-5170.1900000000005</v>
      </c>
      <c r="J14" s="110">
        <f t="shared" si="3"/>
        <v>18.707704402515724</v>
      </c>
      <c r="K14" s="112">
        <f>F14-1859.78</f>
        <v>-669.97</v>
      </c>
      <c r="L14" s="112">
        <f>F14/1859.78*100</f>
        <v>63.97584660551247</v>
      </c>
      <c r="M14" s="111">
        <f>E14-березень!E14</f>
        <v>610</v>
      </c>
      <c r="N14" s="179">
        <f>F14-березень!F14</f>
        <v>253.89</v>
      </c>
      <c r="O14" s="112">
        <f t="shared" si="4"/>
        <v>-356.11</v>
      </c>
      <c r="P14" s="42">
        <f t="shared" si="5"/>
        <v>41.62131147540983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185.06</v>
      </c>
      <c r="G15" s="36">
        <f t="shared" si="0"/>
        <v>65.06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E15-березень!E15</f>
        <v>10</v>
      </c>
      <c r="N15" s="178">
        <f>F15-березень!F15</f>
        <v>0</v>
      </c>
      <c r="O15" s="40">
        <f t="shared" si="4"/>
        <v>-10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18315.97</v>
      </c>
      <c r="G19" s="36">
        <f t="shared" si="0"/>
        <v>-10244.43</v>
      </c>
      <c r="H19" s="32">
        <f t="shared" si="1"/>
        <v>64.13064943068024</v>
      </c>
      <c r="I19" s="42">
        <f t="shared" si="2"/>
        <v>-91584.03</v>
      </c>
      <c r="J19" s="42">
        <f t="shared" si="3"/>
        <v>16.666032757051866</v>
      </c>
      <c r="K19" s="185">
        <f>F19-10070.48</f>
        <v>8245.490000000002</v>
      </c>
      <c r="L19" s="185">
        <f>F19/10070.48*100</f>
        <v>181.87782508877436</v>
      </c>
      <c r="M19" s="32">
        <f>E19-березень!E19</f>
        <v>8500</v>
      </c>
      <c r="N19" s="178">
        <f>F19-березень!F19</f>
        <v>45.080000000001746</v>
      </c>
      <c r="O19" s="40">
        <f t="shared" si="4"/>
        <v>-8454.919999999998</v>
      </c>
      <c r="P19" s="42">
        <f t="shared" si="5"/>
        <v>0.5303529411764911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82089.23999999999</v>
      </c>
      <c r="G20" s="36">
        <f t="shared" si="0"/>
        <v>-15111.770000000019</v>
      </c>
      <c r="H20" s="32">
        <f t="shared" si="1"/>
        <v>84.45307306991972</v>
      </c>
      <c r="I20" s="42">
        <f t="shared" si="2"/>
        <v>-188850.76</v>
      </c>
      <c r="J20" s="42">
        <f t="shared" si="3"/>
        <v>30.297940503432493</v>
      </c>
      <c r="K20" s="132">
        <f>F20-49978.98</f>
        <v>32110.259999999987</v>
      </c>
      <c r="L20" s="110">
        <f>F20/49978.98*100</f>
        <v>164.24752966146966</v>
      </c>
      <c r="M20" s="32">
        <f>M21+M25+M26+M27</f>
        <v>23050.5</v>
      </c>
      <c r="N20" s="178">
        <f>F20-березень!F20</f>
        <v>3145.1499999999796</v>
      </c>
      <c r="O20" s="40">
        <f t="shared" si="4"/>
        <v>-19905.35000000002</v>
      </c>
      <c r="P20" s="42">
        <f t="shared" si="5"/>
        <v>13.644606407670027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41575.69</v>
      </c>
      <c r="G21" s="36">
        <f t="shared" si="0"/>
        <v>-10110.57</v>
      </c>
      <c r="H21" s="32">
        <f t="shared" si="1"/>
        <v>80.4385730366252</v>
      </c>
      <c r="I21" s="42">
        <f t="shared" si="2"/>
        <v>-119824.31</v>
      </c>
      <c r="J21" s="42">
        <f t="shared" si="3"/>
        <v>25.759411400247835</v>
      </c>
      <c r="K21" s="132">
        <f>F21-24610.26</f>
        <v>16965.430000000004</v>
      </c>
      <c r="L21" s="110">
        <f>F21/24610.26*100</f>
        <v>168.9364110740805</v>
      </c>
      <c r="M21" s="32">
        <f>M22+M23+M24</f>
        <v>14845</v>
      </c>
      <c r="N21" s="178">
        <f>F21-березень!F21</f>
        <v>1187.5800000000017</v>
      </c>
      <c r="O21" s="40">
        <f t="shared" si="4"/>
        <v>-13657.419999999998</v>
      </c>
      <c r="P21" s="42">
        <f t="shared" si="5"/>
        <v>7.999865274503211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4449.99</v>
      </c>
      <c r="G22" s="109">
        <f>F22-E22</f>
        <v>-2181.6100000000006</v>
      </c>
      <c r="H22" s="111">
        <f t="shared" si="1"/>
        <v>67.10281078472767</v>
      </c>
      <c r="I22" s="110">
        <f t="shared" si="2"/>
        <v>-14050.01</v>
      </c>
      <c r="J22" s="110">
        <f t="shared" si="3"/>
        <v>24.054</v>
      </c>
      <c r="K22" s="174">
        <f>F22-526.28</f>
        <v>3923.71</v>
      </c>
      <c r="L22" s="174">
        <f>F22/526.28*100</f>
        <v>845.555597780649</v>
      </c>
      <c r="M22" s="111">
        <f>E22-березень!E22</f>
        <v>3100.0000000000005</v>
      </c>
      <c r="N22" s="179">
        <f>F22-березень!F22</f>
        <v>255.09999999999945</v>
      </c>
      <c r="O22" s="112">
        <f t="shared" si="4"/>
        <v>-2844.900000000001</v>
      </c>
      <c r="P22" s="110">
        <f t="shared" si="5"/>
        <v>8.229032258064498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313.88</v>
      </c>
      <c r="G23" s="109">
        <f>F23-E23</f>
        <v>37.04000000000002</v>
      </c>
      <c r="H23" s="111">
        <f t="shared" si="1"/>
        <v>113.37956942638347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E23-березень!E23</f>
        <v>74.99999999999997</v>
      </c>
      <c r="N23" s="179">
        <f>F23-березень!F23</f>
        <v>0</v>
      </c>
      <c r="O23" s="112">
        <f t="shared" si="4"/>
        <v>-74.99999999999997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36811.82</v>
      </c>
      <c r="G24" s="109">
        <f>F24-E24</f>
        <v>-7966</v>
      </c>
      <c r="H24" s="111">
        <f t="shared" si="1"/>
        <v>82.20994233305686</v>
      </c>
      <c r="I24" s="110">
        <f t="shared" si="2"/>
        <v>-103288.18</v>
      </c>
      <c r="J24" s="110">
        <f t="shared" si="3"/>
        <v>26.275389007851537</v>
      </c>
      <c r="K24" s="174">
        <f>F24-24046.28</f>
        <v>12765.54</v>
      </c>
      <c r="L24" s="174">
        <f>F24/24046.28*100</f>
        <v>153.08737983588316</v>
      </c>
      <c r="M24" s="111">
        <f>E24-березень!E24</f>
        <v>11670</v>
      </c>
      <c r="N24" s="179">
        <f>F24-березень!F24</f>
        <v>932.4800000000032</v>
      </c>
      <c r="O24" s="112">
        <f t="shared" si="4"/>
        <v>-10737.519999999997</v>
      </c>
      <c r="P24" s="110">
        <f t="shared" si="5"/>
        <v>7.990402742073721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24.81</v>
      </c>
      <c r="G25" s="36">
        <f>F25-E25</f>
        <v>5.299999999999997</v>
      </c>
      <c r="H25" s="32">
        <f t="shared" si="1"/>
        <v>127.16555612506406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E25-березень!E25</f>
        <v>5.500000000000002</v>
      </c>
      <c r="N25" s="178">
        <f>F25-березень!F25</f>
        <v>0</v>
      </c>
      <c r="O25" s="40">
        <f t="shared" si="4"/>
        <v>-5.500000000000002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-85.13</v>
      </c>
      <c r="G26" s="36">
        <f aca="true" t="shared" si="6" ref="G26:G32">F26-E26</f>
        <v>-85.13</v>
      </c>
      <c r="H26" s="32"/>
      <c r="I26" s="42">
        <f t="shared" si="2"/>
        <v>-85.13</v>
      </c>
      <c r="J26" s="42"/>
      <c r="K26" s="132">
        <f>F26-12.89</f>
        <v>-98.02</v>
      </c>
      <c r="L26" s="132">
        <f>F26/12.89*100</f>
        <v>-660.4344453064391</v>
      </c>
      <c r="M26" s="32">
        <f>E26-березень!E26</f>
        <v>0</v>
      </c>
      <c r="N26" s="178">
        <f>F26-березень!F26</f>
        <v>-3.589999999999989</v>
      </c>
      <c r="O26" s="40">
        <f t="shared" si="4"/>
        <v>-3.589999999999989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40573.87</v>
      </c>
      <c r="G27" s="36">
        <f t="shared" si="6"/>
        <v>-4921.369999999995</v>
      </c>
      <c r="H27" s="32">
        <f t="shared" si="1"/>
        <v>89.1826705387201</v>
      </c>
      <c r="I27" s="42">
        <f t="shared" si="2"/>
        <v>-68889.13</v>
      </c>
      <c r="J27" s="42">
        <f t="shared" si="3"/>
        <v>37.06628723861031</v>
      </c>
      <c r="K27" s="106">
        <f>F27-25338.21</f>
        <v>15235.660000000003</v>
      </c>
      <c r="L27" s="106">
        <f>F27/25338.21*100</f>
        <v>160.12918828914908</v>
      </c>
      <c r="M27" s="32">
        <f>E27-березень!E27</f>
        <v>8200</v>
      </c>
      <c r="N27" s="178">
        <f>F27-березень!F27</f>
        <v>1961.1600000000035</v>
      </c>
      <c r="O27" s="40">
        <f t="shared" si="4"/>
        <v>-6238.8399999999965</v>
      </c>
      <c r="P27" s="42">
        <f>N27/M27*100</f>
        <v>23.916585365853702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E28-березень!E28</f>
        <v>0</v>
      </c>
      <c r="N28" s="179">
        <f>F28-березень!F28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10086.12</v>
      </c>
      <c r="G29" s="109">
        <f t="shared" si="6"/>
        <v>-1169.8499999999985</v>
      </c>
      <c r="H29" s="111">
        <f t="shared" si="1"/>
        <v>89.60684863232579</v>
      </c>
      <c r="I29" s="110">
        <f t="shared" si="2"/>
        <v>-17513.879999999997</v>
      </c>
      <c r="J29" s="110">
        <f t="shared" si="3"/>
        <v>36.54391304347826</v>
      </c>
      <c r="K29" s="142">
        <f>F29-6631.29</f>
        <v>3454.830000000001</v>
      </c>
      <c r="L29" s="142">
        <f>F29/6631.29*100</f>
        <v>152.09891288120411</v>
      </c>
      <c r="M29" s="111">
        <f>E29-березень!E29</f>
        <v>1900</v>
      </c>
      <c r="N29" s="179">
        <f>F29-березень!F29</f>
        <v>273.630000000001</v>
      </c>
      <c r="O29" s="112">
        <f t="shared" si="4"/>
        <v>-1626.369999999999</v>
      </c>
      <c r="P29" s="110">
        <f>N29/M29*100</f>
        <v>14.401578947368474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30479.89</v>
      </c>
      <c r="G30" s="109">
        <f t="shared" si="6"/>
        <v>-3756.1900000000023</v>
      </c>
      <c r="H30" s="111">
        <f t="shared" si="1"/>
        <v>89.0285628494851</v>
      </c>
      <c r="I30" s="110">
        <f t="shared" si="2"/>
        <v>-51332.11</v>
      </c>
      <c r="J30" s="110">
        <f t="shared" si="3"/>
        <v>37.256013787708405</v>
      </c>
      <c r="K30" s="142">
        <f>F30-18703.62</f>
        <v>11776.27</v>
      </c>
      <c r="L30" s="142">
        <f>F30/18603.62*100</f>
        <v>163.83848949828044</v>
      </c>
      <c r="M30" s="111">
        <f>E30-березень!E30</f>
        <v>6300</v>
      </c>
      <c r="N30" s="179">
        <f>F30-березень!F30</f>
        <v>1687.5099999999984</v>
      </c>
      <c r="O30" s="112">
        <f t="shared" si="4"/>
        <v>-4612.490000000002</v>
      </c>
      <c r="P30" s="110">
        <f>N30/M30*100</f>
        <v>26.78587301587299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14937.109999999999</v>
      </c>
      <c r="G33" s="15">
        <f>G34+G35+G36+G37+G38+G39+G41+G42+G43+G44+G45+G50+G51+G55</f>
        <v>691.0999999999998</v>
      </c>
      <c r="H33" s="38">
        <f>F33/E33*100</f>
        <v>104.85103569204894</v>
      </c>
      <c r="I33" s="28">
        <f>F33-D33</f>
        <v>-27882.89</v>
      </c>
      <c r="J33" s="28">
        <f>F33/D33*100</f>
        <v>34.883489023820644</v>
      </c>
      <c r="K33" s="15">
        <f>F33-7649.28</f>
        <v>7287.829999999999</v>
      </c>
      <c r="L33" s="15">
        <f>F33/7649.28*100</f>
        <v>195.27471866633198</v>
      </c>
      <c r="M33" s="15">
        <f>M34+M35+M36+M37+M38+M39+M41+M42+M43+M44+M45+M50+M51+M55</f>
        <v>3735.999</v>
      </c>
      <c r="N33" s="15">
        <f>N34+N35+N36+N37+N38+N39+N41+N42+N43+N44+N45+N50+N51+N55</f>
        <v>4264.84</v>
      </c>
      <c r="O33" s="15">
        <f>O34+O35+O36+O37+O38+O39+O41+O42+O43+O44+O45+O50+O51+O55</f>
        <v>528.8410000000001</v>
      </c>
      <c r="P33" s="15">
        <f>N33/M33*100</f>
        <v>114.15527680815762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F36-4.04</f>
        <v>23.19</v>
      </c>
      <c r="L36" s="42">
        <f>F36/4.04*100</f>
        <v>674.009900990099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23.11</v>
      </c>
      <c r="G38" s="36">
        <f t="shared" si="9"/>
        <v>-16.89</v>
      </c>
      <c r="H38" s="32">
        <f t="shared" si="7"/>
        <v>57.775</v>
      </c>
      <c r="I38" s="42">
        <f t="shared" si="10"/>
        <v>-126.89</v>
      </c>
      <c r="J38" s="42">
        <f t="shared" si="12"/>
        <v>15.406666666666666</v>
      </c>
      <c r="K38" s="42">
        <f>F38-30.76</f>
        <v>-7.650000000000002</v>
      </c>
      <c r="L38" s="42">
        <f>F38/30.76*100</f>
        <v>75.1300390117035</v>
      </c>
      <c r="M38" s="32">
        <f>E38-березень!E38</f>
        <v>10</v>
      </c>
      <c r="N38" s="178">
        <f>F38-березень!F38</f>
        <v>2.710000000000001</v>
      </c>
      <c r="O38" s="40">
        <f t="shared" si="11"/>
        <v>-7.289999999999999</v>
      </c>
      <c r="P38" s="42">
        <f t="shared" si="8"/>
        <v>27.10000000000001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2510.53</v>
      </c>
      <c r="G41" s="36">
        <f t="shared" si="9"/>
        <v>-428.4899999999998</v>
      </c>
      <c r="H41" s="32">
        <f t="shared" si="7"/>
        <v>85.4206504208886</v>
      </c>
      <c r="I41" s="42">
        <f t="shared" si="10"/>
        <v>-7389.469999999999</v>
      </c>
      <c r="J41" s="42">
        <f t="shared" si="12"/>
        <v>25.35888888888889</v>
      </c>
      <c r="K41" s="42">
        <f>F41-2528.58</f>
        <v>-18.049999999999727</v>
      </c>
      <c r="L41" s="42">
        <f>F41/2528.58*100</f>
        <v>99.28616061188494</v>
      </c>
      <c r="M41" s="32">
        <f>E41-березень!E41</f>
        <v>800</v>
      </c>
      <c r="N41" s="178">
        <f>F41-березень!F41</f>
        <v>170.95000000000027</v>
      </c>
      <c r="O41" s="40">
        <f t="shared" si="11"/>
        <v>-629.0499999999997</v>
      </c>
      <c r="P41" s="42">
        <f t="shared" si="8"/>
        <v>21.368750000000034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F44-1946.14</f>
        <v>685.2099999999998</v>
      </c>
      <c r="L44" s="42">
        <f>F44/1946.14*100</f>
        <v>135.20866946879462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1620.85</v>
      </c>
      <c r="G45" s="36">
        <f t="shared" si="9"/>
        <v>-393.34000000000015</v>
      </c>
      <c r="H45" s="32">
        <f t="shared" si="7"/>
        <v>80.4715543220848</v>
      </c>
      <c r="I45" s="42">
        <f t="shared" si="10"/>
        <v>-5679.15</v>
      </c>
      <c r="J45" s="42">
        <f t="shared" si="12"/>
        <v>22.203424657534246</v>
      </c>
      <c r="K45" s="132">
        <f>F45-2181.98</f>
        <v>-561.1300000000001</v>
      </c>
      <c r="L45" s="132">
        <f>F45/2181.98*100</f>
        <v>74.28344897753416</v>
      </c>
      <c r="M45" s="32">
        <f>E45-березень!E45</f>
        <v>641</v>
      </c>
      <c r="N45" s="178">
        <f>F45-березень!F45</f>
        <v>120.75</v>
      </c>
      <c r="O45" s="40">
        <f t="shared" si="11"/>
        <v>-520.25</v>
      </c>
      <c r="P45" s="132">
        <f t="shared" si="8"/>
        <v>18.837753510140406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181.79</v>
      </c>
      <c r="G46" s="36">
        <f t="shared" si="9"/>
        <v>-107.20000000000002</v>
      </c>
      <c r="H46" s="32">
        <f t="shared" si="7"/>
        <v>62.90529084051351</v>
      </c>
      <c r="I46" s="110">
        <f t="shared" si="10"/>
        <v>-918.21</v>
      </c>
      <c r="J46" s="110">
        <f t="shared" si="12"/>
        <v>16.526363636363637</v>
      </c>
      <c r="K46" s="110">
        <f>F46-216.18</f>
        <v>-34.390000000000015</v>
      </c>
      <c r="L46" s="110">
        <f>F46/216.18*100</f>
        <v>84.09196040336757</v>
      </c>
      <c r="M46" s="111">
        <f>E46-березень!E46</f>
        <v>100</v>
      </c>
      <c r="N46" s="179">
        <f>F46-березень!F46</f>
        <v>18.109999999999985</v>
      </c>
      <c r="O46" s="112">
        <f t="shared" si="11"/>
        <v>-81.89000000000001</v>
      </c>
      <c r="P46" s="132">
        <f t="shared" si="8"/>
        <v>18.109999999999985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F48-0.53</f>
        <v>-0.53</v>
      </c>
      <c r="L48" s="110">
        <f>F48/0.53*100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1438.95</v>
      </c>
      <c r="G49" s="36">
        <f t="shared" si="9"/>
        <v>-283.22</v>
      </c>
      <c r="H49" s="32">
        <f t="shared" si="7"/>
        <v>83.55446907099764</v>
      </c>
      <c r="I49" s="110">
        <f t="shared" si="10"/>
        <v>-4715.05</v>
      </c>
      <c r="J49" s="110">
        <f t="shared" si="12"/>
        <v>23.38235294117647</v>
      </c>
      <c r="K49" s="110">
        <f>F49-1921.57</f>
        <v>-482.6199999999999</v>
      </c>
      <c r="L49" s="110">
        <f>F49/1921.57*100</f>
        <v>74.88407916443326</v>
      </c>
      <c r="M49" s="111">
        <f>E49-березень!E49</f>
        <v>540</v>
      </c>
      <c r="N49" s="179">
        <f>F49-березень!F49</f>
        <v>102.65000000000009</v>
      </c>
      <c r="O49" s="112">
        <f t="shared" si="11"/>
        <v>-437.3499999999999</v>
      </c>
      <c r="P49" s="132">
        <f t="shared" si="8"/>
        <v>19.009259259259277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1238.98</v>
      </c>
      <c r="G51" s="36">
        <f t="shared" si="9"/>
        <v>-239</v>
      </c>
      <c r="H51" s="32">
        <f t="shared" si="7"/>
        <v>83.82928050447232</v>
      </c>
      <c r="I51" s="42">
        <f t="shared" si="10"/>
        <v>-3561.02</v>
      </c>
      <c r="J51" s="42">
        <f t="shared" si="12"/>
        <v>25.812083333333334</v>
      </c>
      <c r="K51" s="42">
        <f>F51-960.47</f>
        <v>278.51</v>
      </c>
      <c r="L51" s="42">
        <f>F51/960.47*100</f>
        <v>128.99726175726468</v>
      </c>
      <c r="M51" s="32">
        <f>E51-березень!E51</f>
        <v>470</v>
      </c>
      <c r="N51" s="178">
        <f>F51-березень!F51</f>
        <v>124.1400000000001</v>
      </c>
      <c r="O51" s="40">
        <f t="shared" si="11"/>
        <v>-345.8599999999999</v>
      </c>
      <c r="P51" s="42">
        <f t="shared" si="8"/>
        <v>26.412765957446833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273.2</v>
      </c>
      <c r="G53" s="36"/>
      <c r="H53" s="32"/>
      <c r="I53" s="42"/>
      <c r="J53" s="42"/>
      <c r="K53" s="112">
        <f>F53-239.6</f>
        <v>33.599999999999994</v>
      </c>
      <c r="L53" s="112">
        <f>F53/239.6*100</f>
        <v>114.02337228714524</v>
      </c>
      <c r="M53" s="32">
        <f>E53-березень!E53</f>
        <v>0</v>
      </c>
      <c r="N53" s="179">
        <f>F53-березень!F53</f>
        <v>44.29999999999998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F56-6.1</f>
        <v>7.42</v>
      </c>
      <c r="L56" s="42">
        <f>F56/6.1*100</f>
        <v>221.63934426229508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E57-березень!E57</f>
        <v>0</v>
      </c>
      <c r="N57" s="178">
        <f>F57-березень!F57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238366.10999999996</v>
      </c>
      <c r="G58" s="37">
        <f>F58-E58</f>
        <v>-47562.19999999998</v>
      </c>
      <c r="H58" s="38">
        <f>F58/E58*100</f>
        <v>83.36569051172303</v>
      </c>
      <c r="I58" s="28">
        <f>F58-D58</f>
        <v>-645534.49</v>
      </c>
      <c r="J58" s="28">
        <f>F58/D58*100</f>
        <v>26.967524402630787</v>
      </c>
      <c r="K58" s="28">
        <f>F58-147138.18</f>
        <v>91227.92999999996</v>
      </c>
      <c r="L58" s="28">
        <f>F58/147138.18*100</f>
        <v>162.00153488373988</v>
      </c>
      <c r="M58" s="15">
        <f>M8+M33+M56+M57</f>
        <v>75098.79899999998</v>
      </c>
      <c r="N58" s="15">
        <f>N8+N33+N56+N57</f>
        <v>17900.329999999976</v>
      </c>
      <c r="O58" s="41">
        <f>N58-M58</f>
        <v>-57198.46900000001</v>
      </c>
      <c r="P58" s="28">
        <f>N58/M58*100</f>
        <v>23.835707412577904</v>
      </c>
      <c r="Q58" s="28">
        <f>N58-34768</f>
        <v>-16867.670000000024</v>
      </c>
      <c r="R58" s="128">
        <f>N58/34768</f>
        <v>0.5148507248044172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 hidden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0.17</v>
      </c>
      <c r="G67" s="36">
        <f aca="true" t="shared" si="13" ref="G67:G77">F67-E67</f>
        <v>-366.43</v>
      </c>
      <c r="H67" s="32"/>
      <c r="I67" s="43">
        <f aca="true" t="shared" si="14" ref="I67:I77">F67-D67</f>
        <v>-4199.83</v>
      </c>
      <c r="J67" s="43">
        <f>F67/D67*100</f>
        <v>0.004047619047619048</v>
      </c>
      <c r="K67" s="43">
        <f>F67-33.47</f>
        <v>-33.3</v>
      </c>
      <c r="L67" s="43">
        <f>F67/33.47*100</f>
        <v>0.5079175380938155</v>
      </c>
      <c r="M67" s="32">
        <f>E67-березень!E67</f>
        <v>294.6</v>
      </c>
      <c r="N67" s="178">
        <f>F67-березень!F67</f>
        <v>0.020000000000000018</v>
      </c>
      <c r="O67" s="40">
        <f aca="true" t="shared" si="15" ref="O67:O80">N67-M67</f>
        <v>-294.58000000000004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408.37</v>
      </c>
      <c r="G68" s="36">
        <f t="shared" si="13"/>
        <v>-1225.6399999999999</v>
      </c>
      <c r="H68" s="32">
        <f>F68/E68*100</f>
        <v>24.991891114497463</v>
      </c>
      <c r="I68" s="43">
        <f t="shared" si="14"/>
        <v>-7050.63</v>
      </c>
      <c r="J68" s="43">
        <f>F68/D68*100</f>
        <v>5.474862582115565</v>
      </c>
      <c r="K68" s="43">
        <f>F68-1409.78</f>
        <v>-1001.41</v>
      </c>
      <c r="L68" s="43">
        <f>F68/1409.78*100</f>
        <v>28.96693101051228</v>
      </c>
      <c r="M68" s="32">
        <f>E68-березень!E68</f>
        <v>242.5999999999999</v>
      </c>
      <c r="N68" s="178">
        <f>F68-березень!F68</f>
        <v>89.73000000000002</v>
      </c>
      <c r="O68" s="40">
        <f t="shared" si="15"/>
        <v>-152.8699999999999</v>
      </c>
      <c r="P68" s="43">
        <f>N68/M68*100</f>
        <v>36.9868095630668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7957.68</v>
      </c>
      <c r="G69" s="36">
        <f t="shared" si="13"/>
        <v>6768.83</v>
      </c>
      <c r="H69" s="32">
        <f>F69/E69*100</f>
        <v>669.35946502923</v>
      </c>
      <c r="I69" s="43">
        <f t="shared" si="14"/>
        <v>1957.6800000000003</v>
      </c>
      <c r="J69" s="43">
        <f>F69/D69*100</f>
        <v>132.62800000000001</v>
      </c>
      <c r="K69" s="43">
        <f>F69-11.06</f>
        <v>7946.62</v>
      </c>
      <c r="L69" s="43">
        <f>F69/11.06*100</f>
        <v>71950.0904159132</v>
      </c>
      <c r="M69" s="32">
        <f>E69-березень!E69</f>
        <v>301.9999999999999</v>
      </c>
      <c r="N69" s="178">
        <f>F69-березень!F69</f>
        <v>0.5900000000001455</v>
      </c>
      <c r="O69" s="40">
        <f t="shared" si="15"/>
        <v>-301.40999999999974</v>
      </c>
      <c r="P69" s="43">
        <f>N69/M69*100</f>
        <v>0.19536423841064432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3</v>
      </c>
      <c r="G70" s="36">
        <f t="shared" si="13"/>
        <v>-1</v>
      </c>
      <c r="H70" s="32">
        <f>F70/E70*100</f>
        <v>75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E70-березень!E70</f>
        <v>1</v>
      </c>
      <c r="N70" s="178">
        <f>F70-березень!F70</f>
        <v>0</v>
      </c>
      <c r="O70" s="40">
        <f t="shared" si="15"/>
        <v>-1</v>
      </c>
      <c r="P70" s="43">
        <f>N70/M70*100</f>
        <v>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8369.220000000001</v>
      </c>
      <c r="G71" s="45">
        <f t="shared" si="13"/>
        <v>5175.760000000001</v>
      </c>
      <c r="H71" s="52">
        <f>F71/E71*100</f>
        <v>262.0737382024513</v>
      </c>
      <c r="I71" s="44">
        <f t="shared" si="14"/>
        <v>-9301.779999999999</v>
      </c>
      <c r="J71" s="44">
        <f>F71/D71*100</f>
        <v>47.36132646709299</v>
      </c>
      <c r="K71" s="44">
        <f>F71-1454.31</f>
        <v>6914.910000000002</v>
      </c>
      <c r="L71" s="44">
        <f>F71/1454.31*100</f>
        <v>575.4770303442871</v>
      </c>
      <c r="M71" s="45">
        <f>M67+M68+M69+M70</f>
        <v>840.1999999999998</v>
      </c>
      <c r="N71" s="183">
        <f>N67+N68+N69+N70</f>
        <v>90.34000000000016</v>
      </c>
      <c r="O71" s="44">
        <f t="shared" si="15"/>
        <v>-749.8599999999997</v>
      </c>
      <c r="P71" s="44">
        <f>N71/M71*100</f>
        <v>10.752201856700806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E72-березень!E72</f>
        <v>0</v>
      </c>
      <c r="N72" s="178">
        <f>F72-березень!F72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2019.61</v>
      </c>
      <c r="G74" s="36">
        <f t="shared" si="13"/>
        <v>-1.0900000000001455</v>
      </c>
      <c r="H74" s="32">
        <f>F74/E74*100</f>
        <v>99.94605829662987</v>
      </c>
      <c r="I74" s="43">
        <f t="shared" si="14"/>
        <v>-7480.39</v>
      </c>
      <c r="J74" s="40">
        <f>F74/D74*100</f>
        <v>21.259052631578946</v>
      </c>
      <c r="K74" s="40">
        <f>F74-0</f>
        <v>2019.61</v>
      </c>
      <c r="L74" s="43"/>
      <c r="M74" s="32">
        <f>E74-березень!E74</f>
        <v>15</v>
      </c>
      <c r="N74" s="178">
        <f>F74-березень!F74</f>
        <v>0.6099999999999</v>
      </c>
      <c r="O74" s="40">
        <f>N74-M74</f>
        <v>-14.3900000000001</v>
      </c>
      <c r="P74" s="46">
        <f>N74/M74*100</f>
        <v>4.066666666665999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2020.4499999999998</v>
      </c>
      <c r="G76" s="30">
        <f>G72+G75+G73+G74</f>
        <v>-0.25000000000014544</v>
      </c>
      <c r="H76" s="52">
        <f>F76/E76*100</f>
        <v>99.98762804968574</v>
      </c>
      <c r="I76" s="44">
        <f t="shared" si="14"/>
        <v>-7480.55</v>
      </c>
      <c r="J76" s="44">
        <f>F76/D76*100</f>
        <v>21.265656246710872</v>
      </c>
      <c r="K76" s="44">
        <f>F76-0.58</f>
        <v>2019.87</v>
      </c>
      <c r="L76" s="44">
        <f>F76/0.58*100</f>
        <v>348353.448275862</v>
      </c>
      <c r="M76" s="45">
        <f>M72+M75+M73+M74</f>
        <v>15</v>
      </c>
      <c r="N76" s="183">
        <f>N72+N75+N73+N74</f>
        <v>0.6099999999999</v>
      </c>
      <c r="O76" s="45">
        <f>O72+O75+O73+O74</f>
        <v>-14.3900000000001</v>
      </c>
      <c r="P76" s="44">
        <f>N76/M76*100</f>
        <v>4.066666666665999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10398.59</v>
      </c>
      <c r="G79" s="37">
        <f>F79-E79</f>
        <v>5171.29</v>
      </c>
      <c r="H79" s="38">
        <f>F79/E79*100</f>
        <v>198.928509938209</v>
      </c>
      <c r="I79" s="28">
        <f>F79-D79</f>
        <v>-16816.41</v>
      </c>
      <c r="J79" s="28">
        <f>F79/D79*100</f>
        <v>38.20903913283116</v>
      </c>
      <c r="K79" s="28">
        <f>F79-1453.19</f>
        <v>8945.4</v>
      </c>
      <c r="L79" s="28">
        <f>F79/1453.19*100</f>
        <v>715.5698841858256</v>
      </c>
      <c r="M79" s="24">
        <f>M65+M77+M71+M76</f>
        <v>855.6299999999998</v>
      </c>
      <c r="N79" s="24">
        <f>N65+N77+N71+N76+N78</f>
        <v>90.95000000000006</v>
      </c>
      <c r="O79" s="28">
        <f t="shared" si="15"/>
        <v>-764.6799999999997</v>
      </c>
      <c r="P79" s="28">
        <f>N79/M79*100</f>
        <v>10.629594567745414</v>
      </c>
      <c r="Q79" s="28">
        <f>N79-8104.96</f>
        <v>-8014.01</v>
      </c>
      <c r="R79" s="101">
        <f>N79/8104.96</f>
        <v>0.011221523610233741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248764.69999999995</v>
      </c>
      <c r="G80" s="37">
        <f>F80-E80</f>
        <v>-42390.909999999974</v>
      </c>
      <c r="H80" s="38">
        <f>F80/E80*100</f>
        <v>85.44046257600876</v>
      </c>
      <c r="I80" s="28">
        <f>F80-D80</f>
        <v>-662350.9</v>
      </c>
      <c r="J80" s="28">
        <f>F80/D80*100</f>
        <v>27.303308164189037</v>
      </c>
      <c r="K80" s="28">
        <f>K58+K79</f>
        <v>100173.32999999996</v>
      </c>
      <c r="L80" s="28">
        <f>F80/139550.7*100</f>
        <v>178.26116243057177</v>
      </c>
      <c r="M80" s="15">
        <f>M58+M79</f>
        <v>75954.42899999999</v>
      </c>
      <c r="N80" s="15">
        <f>N58+N79</f>
        <v>17991.279999999977</v>
      </c>
      <c r="O80" s="28">
        <f t="shared" si="15"/>
        <v>-57963.14900000001</v>
      </c>
      <c r="P80" s="28">
        <f>N80/M80*100</f>
        <v>23.686939967648208</v>
      </c>
      <c r="Q80" s="28">
        <f>N80-42872.96</f>
        <v>-24881.680000000022</v>
      </c>
      <c r="R80" s="101">
        <f>N80/42872.96</f>
        <v>0.4196416575855732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16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3574.9043125000007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42467</v>
      </c>
      <c r="D84" s="31">
        <v>4445.7</v>
      </c>
      <c r="G84" s="4" t="s">
        <v>59</v>
      </c>
      <c r="N84" s="215"/>
      <c r="O84" s="215"/>
    </row>
    <row r="85" spans="3:15" ht="15">
      <c r="C85" s="87">
        <v>42466</v>
      </c>
      <c r="D85" s="31">
        <v>4036.4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42465</v>
      </c>
      <c r="D86" s="31">
        <v>2877.6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v>0.02416</v>
      </c>
      <c r="E88" s="74"/>
      <c r="F88" s="140" t="s">
        <v>137</v>
      </c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2" sqref="G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9" t="s">
        <v>148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/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199" t="s">
        <v>147</v>
      </c>
      <c r="N3" s="202" t="s">
        <v>143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146</v>
      </c>
      <c r="F4" s="205" t="s">
        <v>34</v>
      </c>
      <c r="G4" s="207" t="s">
        <v>141</v>
      </c>
      <c r="H4" s="200" t="s">
        <v>142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09" t="s">
        <v>149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78.7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144</v>
      </c>
      <c r="L5" s="213"/>
      <c r="M5" s="201"/>
      <c r="N5" s="210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10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228.9</v>
      </c>
      <c r="G53" s="36"/>
      <c r="H53" s="32"/>
      <c r="I53" s="42"/>
      <c r="J53" s="42"/>
      <c r="K53" s="112">
        <f>F53-239.6</f>
        <v>-10.699999999999989</v>
      </c>
      <c r="L53" s="112">
        <f>F53/239.6*100</f>
        <v>95.53422370617697</v>
      </c>
      <c r="M53" s="111"/>
      <c r="N53" s="179">
        <f>F53-лютий!F53</f>
        <v>81.6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5"/>
      <c r="O84" s="215"/>
    </row>
    <row r="85" spans="3:15" ht="15">
      <c r="C85" s="87">
        <v>42459</v>
      </c>
      <c r="D85" s="31">
        <v>7576.3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42458</v>
      </c>
      <c r="D86" s="31">
        <v>9190.1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f>4343.7</f>
        <v>4343.7</v>
      </c>
      <c r="E88" s="74"/>
      <c r="F88" s="140" t="s">
        <v>137</v>
      </c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9" t="s">
        <v>139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/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225" t="s">
        <v>128</v>
      </c>
      <c r="N3" s="202" t="s">
        <v>119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127</v>
      </c>
      <c r="F4" s="205" t="s">
        <v>34</v>
      </c>
      <c r="G4" s="207" t="s">
        <v>116</v>
      </c>
      <c r="H4" s="200" t="s">
        <v>117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09" t="s">
        <v>140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92.2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118</v>
      </c>
      <c r="L5" s="213"/>
      <c r="M5" s="201"/>
      <c r="N5" s="210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5"/>
      <c r="O84" s="215"/>
    </row>
    <row r="85" spans="3:15" ht="15">
      <c r="C85" s="87">
        <v>42426</v>
      </c>
      <c r="D85" s="31">
        <v>6256.2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42425</v>
      </c>
      <c r="D86" s="31">
        <v>3536.9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v>505.3</v>
      </c>
      <c r="E88" s="74"/>
      <c r="F88" s="140" t="s">
        <v>137</v>
      </c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1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 t="s">
        <v>135</v>
      </c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225" t="s">
        <v>132</v>
      </c>
      <c r="N3" s="202" t="s">
        <v>66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129</v>
      </c>
      <c r="F4" s="205" t="s">
        <v>34</v>
      </c>
      <c r="G4" s="207" t="s">
        <v>130</v>
      </c>
      <c r="H4" s="200" t="s">
        <v>131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26" t="s">
        <v>133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92.2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134</v>
      </c>
      <c r="L5" s="213"/>
      <c r="M5" s="201"/>
      <c r="N5" s="227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5"/>
      <c r="O84" s="215"/>
    </row>
    <row r="85" spans="3:15" ht="15">
      <c r="C85" s="87">
        <v>42397</v>
      </c>
      <c r="D85" s="31">
        <v>8685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42396</v>
      </c>
      <c r="D86" s="31">
        <v>4820.3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v>300.92</v>
      </c>
      <c r="E88" s="74"/>
      <c r="F88" s="140"/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 t="s">
        <v>136</v>
      </c>
      <c r="C3" s="194" t="s">
        <v>0</v>
      </c>
      <c r="D3" s="195" t="s">
        <v>115</v>
      </c>
      <c r="E3" s="34"/>
      <c r="F3" s="196" t="s">
        <v>26</v>
      </c>
      <c r="G3" s="197"/>
      <c r="H3" s="197"/>
      <c r="I3" s="197"/>
      <c r="J3" s="198"/>
      <c r="K3" s="89"/>
      <c r="L3" s="89"/>
      <c r="M3" s="225" t="s">
        <v>107</v>
      </c>
      <c r="N3" s="202" t="s">
        <v>66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104</v>
      </c>
      <c r="F4" s="228" t="s">
        <v>34</v>
      </c>
      <c r="G4" s="207" t="s">
        <v>109</v>
      </c>
      <c r="H4" s="200" t="s">
        <v>110</v>
      </c>
      <c r="I4" s="207" t="s">
        <v>105</v>
      </c>
      <c r="J4" s="200" t="s">
        <v>106</v>
      </c>
      <c r="K4" s="91" t="s">
        <v>65</v>
      </c>
      <c r="L4" s="96" t="s">
        <v>64</v>
      </c>
      <c r="M4" s="200"/>
      <c r="N4" s="226" t="s">
        <v>103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76.5" customHeight="1">
      <c r="A5" s="192"/>
      <c r="B5" s="193"/>
      <c r="C5" s="194"/>
      <c r="D5" s="195"/>
      <c r="E5" s="204"/>
      <c r="F5" s="229"/>
      <c r="G5" s="208"/>
      <c r="H5" s="201"/>
      <c r="I5" s="208"/>
      <c r="J5" s="201"/>
      <c r="K5" s="212" t="s">
        <v>108</v>
      </c>
      <c r="L5" s="213"/>
      <c r="M5" s="201"/>
      <c r="N5" s="227"/>
      <c r="O5" s="208"/>
      <c r="P5" s="211"/>
      <c r="Q5" s="212" t="s">
        <v>126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4"/>
      <c r="H82" s="214"/>
      <c r="I82" s="214"/>
      <c r="J82" s="21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5"/>
      <c r="O83" s="215"/>
    </row>
    <row r="84" spans="3:15" ht="15">
      <c r="C84" s="87">
        <v>42397</v>
      </c>
      <c r="D84" s="31">
        <v>8685</v>
      </c>
      <c r="F84" s="166" t="s">
        <v>59</v>
      </c>
      <c r="G84" s="216"/>
      <c r="H84" s="216"/>
      <c r="I84" s="131"/>
      <c r="J84" s="217"/>
      <c r="K84" s="217"/>
      <c r="L84" s="217"/>
      <c r="M84" s="217"/>
      <c r="N84" s="215"/>
      <c r="O84" s="215"/>
    </row>
    <row r="85" spans="3:15" ht="15.75" customHeight="1">
      <c r="C85" s="87">
        <v>42396</v>
      </c>
      <c r="D85" s="31">
        <v>4820.3</v>
      </c>
      <c r="F85" s="167"/>
      <c r="G85" s="216"/>
      <c r="H85" s="216"/>
      <c r="I85" s="131"/>
      <c r="J85" s="218"/>
      <c r="K85" s="218"/>
      <c r="L85" s="218"/>
      <c r="M85" s="218"/>
      <c r="N85" s="215"/>
      <c r="O85" s="215"/>
    </row>
    <row r="86" spans="3:13" ht="15.75" customHeight="1">
      <c r="C86" s="87"/>
      <c r="F86" s="167"/>
      <c r="G86" s="222"/>
      <c r="H86" s="222"/>
      <c r="I86" s="139"/>
      <c r="J86" s="217"/>
      <c r="K86" s="217"/>
      <c r="L86" s="217"/>
      <c r="M86" s="217"/>
    </row>
    <row r="87" spans="2:13" ht="18.75" customHeight="1">
      <c r="B87" s="223" t="s">
        <v>57</v>
      </c>
      <c r="C87" s="224"/>
      <c r="D87" s="148">
        <v>300.92</v>
      </c>
      <c r="E87" s="74"/>
      <c r="F87" s="168"/>
      <c r="G87" s="216"/>
      <c r="H87" s="216"/>
      <c r="I87" s="141"/>
      <c r="J87" s="217"/>
      <c r="K87" s="217"/>
      <c r="L87" s="217"/>
      <c r="M87" s="217"/>
    </row>
    <row r="88" spans="6:12" ht="9.75" customHeight="1">
      <c r="F88" s="167"/>
      <c r="G88" s="216"/>
      <c r="H88" s="216"/>
      <c r="I88" s="73"/>
      <c r="J88" s="74"/>
      <c r="K88" s="74"/>
      <c r="L88" s="74"/>
    </row>
    <row r="89" spans="2:12" ht="22.5" customHeight="1" hidden="1">
      <c r="B89" s="219" t="s">
        <v>60</v>
      </c>
      <c r="C89" s="220"/>
      <c r="D89" s="86">
        <v>0</v>
      </c>
      <c r="E89" s="56" t="s">
        <v>24</v>
      </c>
      <c r="F89" s="167"/>
      <c r="G89" s="216"/>
      <c r="H89" s="21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6"/>
      <c r="O90" s="216"/>
    </row>
    <row r="91" spans="4:15" ht="15">
      <c r="D91" s="83"/>
      <c r="I91" s="31"/>
      <c r="N91" s="221"/>
      <c r="O91" s="221"/>
    </row>
    <row r="92" spans="14:15" ht="15">
      <c r="N92" s="216"/>
      <c r="O92" s="216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2016-04-08T08:39:02Z</cp:lastPrinted>
  <dcterms:created xsi:type="dcterms:W3CDTF">2003-07-28T11:27:56Z</dcterms:created>
  <dcterms:modified xsi:type="dcterms:W3CDTF">2016-04-08T08:47:44Z</dcterms:modified>
  <cp:category/>
  <cp:version/>
  <cp:contentType/>
  <cp:contentStatus/>
</cp:coreProperties>
</file>